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1"/>
  </bookViews>
  <sheets>
    <sheet name="Cleared Imbalance" sheetId="1" r:id="rId1"/>
    <sheet name="Proportional Transfer" sheetId="2" r:id="rId2"/>
  </sheets>
  <definedNames/>
  <calcPr fullCalcOnLoad="1"/>
</workbook>
</file>

<file path=xl/sharedStrings.xml><?xml version="1.0" encoding="utf-8"?>
<sst xmlns="http://schemas.openxmlformats.org/spreadsheetml/2006/main" count="111" uniqueCount="47">
  <si>
    <t>Day Ahead Schedule</t>
  </si>
  <si>
    <t>15-Minute Market</t>
  </si>
  <si>
    <t>RTD</t>
  </si>
  <si>
    <t>Meter</t>
  </si>
  <si>
    <t>UIE</t>
  </si>
  <si>
    <t>IIE</t>
  </si>
  <si>
    <t>Demand</t>
  </si>
  <si>
    <t>Supply</t>
  </si>
  <si>
    <t>Adjusted Base Schedule</t>
  </si>
  <si>
    <t>Int 1</t>
  </si>
  <si>
    <t>Int 2</t>
  </si>
  <si>
    <t>Int 3</t>
  </si>
  <si>
    <t>Int 4</t>
  </si>
  <si>
    <t>Int 5</t>
  </si>
  <si>
    <t>Int 6</t>
  </si>
  <si>
    <t>Int 7</t>
  </si>
  <si>
    <t>Int 8</t>
  </si>
  <si>
    <t>Int 9</t>
  </si>
  <si>
    <t>Int 10</t>
  </si>
  <si>
    <t>Int 11</t>
  </si>
  <si>
    <t>Int 12</t>
  </si>
  <si>
    <t>Total</t>
  </si>
  <si>
    <t>Prior Hour</t>
  </si>
  <si>
    <t>Next Hour</t>
  </si>
  <si>
    <t>Hourly Schedule</t>
  </si>
  <si>
    <t>ISO</t>
  </si>
  <si>
    <t>EIM Entity</t>
  </si>
  <si>
    <t>Base Load Forecast</t>
  </si>
  <si>
    <t>Hourly Baseline (ISO)</t>
  </si>
  <si>
    <t>15-Minute Baseline (EIM Entity)</t>
  </si>
  <si>
    <t>Shape Metering based on Forecast</t>
  </si>
  <si>
    <t>Import to ISO, Export from EIM Entity</t>
  </si>
  <si>
    <t>BAA Supply UIE</t>
  </si>
  <si>
    <t>N/A</t>
  </si>
  <si>
    <t>Hourly Net Scheduled Interchange (ISO to EIM Entity)</t>
  </si>
  <si>
    <t>ISO Transfer to EIM Entity</t>
  </si>
  <si>
    <t>EIM Entity Transfer to ISO</t>
  </si>
  <si>
    <t>BAA Marginal Loss Surplus</t>
  </si>
  <si>
    <t>BAA Regulation Energy</t>
  </si>
  <si>
    <t>Export from ISO, Import to EIM Entity</t>
  </si>
  <si>
    <t>Total Gross UIE</t>
  </si>
  <si>
    <t>Total Gross IIE</t>
  </si>
  <si>
    <t>Total ISO Neutrality</t>
  </si>
  <si>
    <t>BAA Neutrality</t>
  </si>
  <si>
    <t>Total EIM Neutrality</t>
  </si>
  <si>
    <t>All quantities are MWh</t>
  </si>
  <si>
    <t>If the gross imbalance is below some tolerance, there should not be much cost to allocate anyway; in that case, we can nullify the transfer and allocate all of it in the BAA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</si>
</sst>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"/>
    <numFmt numFmtId="175" formatCode="0.0000000000"/>
    <numFmt numFmtId="176" formatCode="0.000000000"/>
    <numFmt numFmtId="177" formatCode="0.00000000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 horizontal="center" vertical="center" textRotation="90"/>
    </xf>
    <xf numFmtId="166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9" fontId="0" fillId="34" borderId="10" xfId="57" applyFon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44" fontId="0" fillId="33" borderId="10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34" borderId="10" xfId="0" applyNumberFormat="1" applyFill="1" applyBorder="1" applyAlignment="1">
      <alignment/>
    </xf>
    <xf numFmtId="181" fontId="0" fillId="34" borderId="10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44" fontId="0" fillId="34" borderId="10" xfId="44" applyFont="1" applyFill="1" applyBorder="1" applyAlignment="1">
      <alignment/>
    </xf>
    <xf numFmtId="44" fontId="0" fillId="34" borderId="10" xfId="44" applyFont="1" applyFill="1" applyBorder="1" applyAlignment="1">
      <alignment horizontal="center"/>
    </xf>
    <xf numFmtId="44" fontId="0" fillId="34" borderId="0" xfId="44" applyFont="1" applyFill="1" applyAlignment="1">
      <alignment/>
    </xf>
    <xf numFmtId="44" fontId="0" fillId="34" borderId="17" xfId="44" applyFont="1" applyFill="1" applyBorder="1" applyAlignment="1">
      <alignment/>
    </xf>
    <xf numFmtId="181" fontId="0" fillId="34" borderId="10" xfId="44" applyNumberFormat="1" applyFont="1" applyFill="1" applyBorder="1" applyAlignment="1">
      <alignment horizontal="center"/>
    </xf>
    <xf numFmtId="181" fontId="0" fillId="34" borderId="0" xfId="44" applyNumberFormat="1" applyFont="1" applyFill="1" applyAlignment="1">
      <alignment/>
    </xf>
    <xf numFmtId="181" fontId="0" fillId="34" borderId="17" xfId="44" applyNumberFormat="1" applyFont="1" applyFill="1" applyBorder="1" applyAlignment="1">
      <alignment/>
    </xf>
    <xf numFmtId="181" fontId="0" fillId="34" borderId="11" xfId="0" applyNumberFormat="1" applyFill="1" applyBorder="1" applyAlignment="1">
      <alignment horizontal="center"/>
    </xf>
    <xf numFmtId="0" fontId="36" fillId="34" borderId="12" xfId="0" applyFont="1" applyFill="1" applyBorder="1" applyAlignment="1">
      <alignment/>
    </xf>
    <xf numFmtId="0" fontId="0" fillId="34" borderId="0" xfId="0" applyFill="1" applyAlignment="1">
      <alignment horizontal="center" vertical="center" textRotation="90"/>
    </xf>
    <xf numFmtId="1" fontId="0" fillId="34" borderId="10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38</xdr:row>
      <xdr:rowOff>0</xdr:rowOff>
    </xdr:from>
    <xdr:to>
      <xdr:col>7</xdr:col>
      <xdr:colOff>57150</xdr:colOff>
      <xdr:row>42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715250"/>
          <a:ext cx="4505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37</xdr:row>
      <xdr:rowOff>47625</xdr:rowOff>
    </xdr:from>
    <xdr:to>
      <xdr:col>5</xdr:col>
      <xdr:colOff>609600</xdr:colOff>
      <xdr:row>42</xdr:row>
      <xdr:rowOff>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86625"/>
          <a:ext cx="423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0" zoomScaleNormal="70" zoomScalePageLayoutView="0" workbookViewId="0" topLeftCell="A1">
      <selection activeCell="B36" sqref="B36"/>
    </sheetView>
  </sheetViews>
  <sheetFormatPr defaultColWidth="9.140625" defaultRowHeight="15"/>
  <cols>
    <col min="1" max="1" width="9.140625" style="2" customWidth="1"/>
    <col min="2" max="2" width="24.28125" style="2" customWidth="1"/>
    <col min="3" max="3" width="11.421875" style="2" customWidth="1"/>
    <col min="4" max="15" width="7.57421875" style="2" customWidth="1"/>
    <col min="16" max="16" width="10.00390625" style="2" customWidth="1"/>
    <col min="17" max="17" width="10.7109375" style="2" customWidth="1"/>
    <col min="18" max="16384" width="9.140625" style="2" customWidth="1"/>
  </cols>
  <sheetData>
    <row r="1" spans="1:17" ht="33.75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">
      <c r="A2" s="36" t="s">
        <v>6</v>
      </c>
      <c r="C2" s="3" t="s">
        <v>22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4" t="s">
        <v>23</v>
      </c>
    </row>
    <row r="3" spans="1:17" ht="15" customHeight="1">
      <c r="A3" s="36"/>
      <c r="B3" s="2" t="s">
        <v>0</v>
      </c>
      <c r="C3" s="1">
        <v>25000</v>
      </c>
      <c r="D3" s="43">
        <f>(Q3+C3)/2</f>
        <v>30000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>
        <f>SUM(D3:O3)</f>
        <v>30000</v>
      </c>
      <c r="Q3" s="1">
        <v>35000</v>
      </c>
    </row>
    <row r="4" spans="1:16" ht="15">
      <c r="A4" s="36"/>
      <c r="B4" s="2" t="s">
        <v>3</v>
      </c>
      <c r="D4" s="44">
        <v>31000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6">
        <f>SUM(D4:O4)</f>
        <v>31000</v>
      </c>
    </row>
    <row r="5" spans="1:16" ht="15">
      <c r="A5" s="36"/>
      <c r="B5" s="2" t="s">
        <v>4</v>
      </c>
      <c r="D5" s="18">
        <f>(D4-D3)/12</f>
        <v>83.33333333333333</v>
      </c>
      <c r="E5" s="18">
        <f>D5</f>
        <v>83.33333333333333</v>
      </c>
      <c r="F5" s="18">
        <f aca="true" t="shared" si="0" ref="F5:O5">E5</f>
        <v>83.33333333333333</v>
      </c>
      <c r="G5" s="18">
        <f t="shared" si="0"/>
        <v>83.33333333333333</v>
      </c>
      <c r="H5" s="18">
        <f t="shared" si="0"/>
        <v>83.33333333333333</v>
      </c>
      <c r="I5" s="18">
        <f t="shared" si="0"/>
        <v>83.33333333333333</v>
      </c>
      <c r="J5" s="18">
        <f t="shared" si="0"/>
        <v>83.33333333333333</v>
      </c>
      <c r="K5" s="18">
        <f t="shared" si="0"/>
        <v>83.33333333333333</v>
      </c>
      <c r="L5" s="18">
        <f t="shared" si="0"/>
        <v>83.33333333333333</v>
      </c>
      <c r="M5" s="18">
        <f t="shared" si="0"/>
        <v>83.33333333333333</v>
      </c>
      <c r="N5" s="18">
        <f t="shared" si="0"/>
        <v>83.33333333333333</v>
      </c>
      <c r="O5" s="18">
        <f t="shared" si="0"/>
        <v>83.33333333333333</v>
      </c>
      <c r="P5" s="4">
        <f>SUM(D5:O5)</f>
        <v>1000.0000000000001</v>
      </c>
    </row>
    <row r="6" ht="15">
      <c r="A6" s="7"/>
    </row>
    <row r="7" spans="1:16" ht="15">
      <c r="A7" s="36" t="s">
        <v>7</v>
      </c>
      <c r="B7" s="2" t="s">
        <v>0</v>
      </c>
      <c r="D7" s="43">
        <f>D3</f>
        <v>30000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">
        <f aca="true" t="shared" si="1" ref="P7:P12">SUM(D7:O7)</f>
        <v>30000</v>
      </c>
    </row>
    <row r="8" spans="1:16" ht="15">
      <c r="A8" s="36"/>
      <c r="B8" s="2" t="s">
        <v>1</v>
      </c>
      <c r="D8" s="37">
        <f>SUM(D9:F9)</f>
        <v>7050.000000000002</v>
      </c>
      <c r="E8" s="37"/>
      <c r="F8" s="37"/>
      <c r="G8" s="37">
        <f>SUM(G9:I9)</f>
        <v>7350.000000000002</v>
      </c>
      <c r="H8" s="37"/>
      <c r="I8" s="37"/>
      <c r="J8" s="37">
        <f>SUM(J9:L9)</f>
        <v>7650.000000000005</v>
      </c>
      <c r="K8" s="37"/>
      <c r="L8" s="37"/>
      <c r="M8" s="37">
        <f>SUM(M9:O9)</f>
        <v>7950.0000000000055</v>
      </c>
      <c r="N8" s="37"/>
      <c r="O8" s="37"/>
      <c r="P8" s="4">
        <f t="shared" si="1"/>
        <v>30000.000000000015</v>
      </c>
    </row>
    <row r="9" spans="1:16" ht="15">
      <c r="A9" s="36"/>
      <c r="B9" s="2" t="s">
        <v>2</v>
      </c>
      <c r="C9" s="8">
        <f>(Q3-C3)/25/12</f>
        <v>33.333333333333336</v>
      </c>
      <c r="D9" s="9">
        <f>C3/12+7*C9</f>
        <v>2316.666666666667</v>
      </c>
      <c r="E9" s="9">
        <f>$C$9+D9</f>
        <v>2350.0000000000005</v>
      </c>
      <c r="F9" s="9">
        <f aca="true" t="shared" si="2" ref="F9:O9">$C$9+E9</f>
        <v>2383.333333333334</v>
      </c>
      <c r="G9" s="9">
        <f t="shared" si="2"/>
        <v>2416.6666666666674</v>
      </c>
      <c r="H9" s="9">
        <f t="shared" si="2"/>
        <v>2450.000000000001</v>
      </c>
      <c r="I9" s="9">
        <f t="shared" si="2"/>
        <v>2483.3333333333344</v>
      </c>
      <c r="J9" s="9">
        <f t="shared" si="2"/>
        <v>2516.666666666668</v>
      </c>
      <c r="K9" s="9">
        <f t="shared" si="2"/>
        <v>2550.0000000000014</v>
      </c>
      <c r="L9" s="9">
        <f t="shared" si="2"/>
        <v>2583.333333333335</v>
      </c>
      <c r="M9" s="9">
        <f t="shared" si="2"/>
        <v>2616.6666666666683</v>
      </c>
      <c r="N9" s="9">
        <f t="shared" si="2"/>
        <v>2650.000000000002</v>
      </c>
      <c r="O9" s="9">
        <f t="shared" si="2"/>
        <v>2683.3333333333353</v>
      </c>
      <c r="P9" s="4">
        <f t="shared" si="1"/>
        <v>30000.000000000015</v>
      </c>
    </row>
    <row r="10" spans="1:16" ht="15">
      <c r="A10" s="36"/>
      <c r="B10" s="2" t="s">
        <v>3</v>
      </c>
      <c r="D10" s="15">
        <f>D9</f>
        <v>2316.666666666667</v>
      </c>
      <c r="E10" s="15">
        <f aca="true" t="shared" si="3" ref="E10:O10">E9</f>
        <v>2350.0000000000005</v>
      </c>
      <c r="F10" s="15">
        <f t="shared" si="3"/>
        <v>2383.333333333334</v>
      </c>
      <c r="G10" s="15">
        <f t="shared" si="3"/>
        <v>2416.6666666666674</v>
      </c>
      <c r="H10" s="15">
        <f t="shared" si="3"/>
        <v>2450.000000000001</v>
      </c>
      <c r="I10" s="15">
        <f t="shared" si="3"/>
        <v>2483.3333333333344</v>
      </c>
      <c r="J10" s="15">
        <f t="shared" si="3"/>
        <v>2516.666666666668</v>
      </c>
      <c r="K10" s="15">
        <f t="shared" si="3"/>
        <v>2550.0000000000014</v>
      </c>
      <c r="L10" s="15">
        <f t="shared" si="3"/>
        <v>2583.333333333335</v>
      </c>
      <c r="M10" s="15">
        <f t="shared" si="3"/>
        <v>2616.6666666666683</v>
      </c>
      <c r="N10" s="15">
        <f t="shared" si="3"/>
        <v>2650.000000000002</v>
      </c>
      <c r="O10" s="15">
        <f t="shared" si="3"/>
        <v>2683.3333333333353</v>
      </c>
      <c r="P10" s="4">
        <f t="shared" si="1"/>
        <v>30000.000000000015</v>
      </c>
    </row>
    <row r="11" spans="1:16" ht="15">
      <c r="A11" s="36"/>
      <c r="B11" s="2" t="s">
        <v>5</v>
      </c>
      <c r="D11" s="9">
        <f>D9-$D$7/12</f>
        <v>-183.33333333333303</v>
      </c>
      <c r="E11" s="9">
        <f aca="true" t="shared" si="4" ref="E11:O11">E9-$D$7/12</f>
        <v>-149.99999999999955</v>
      </c>
      <c r="F11" s="9">
        <f t="shared" si="4"/>
        <v>-116.66666666666606</v>
      </c>
      <c r="G11" s="9">
        <f t="shared" si="4"/>
        <v>-83.33333333333258</v>
      </c>
      <c r="H11" s="9">
        <f t="shared" si="4"/>
        <v>-49.99999999999909</v>
      </c>
      <c r="I11" s="9">
        <f t="shared" si="4"/>
        <v>-16.666666666665606</v>
      </c>
      <c r="J11" s="9">
        <f t="shared" si="4"/>
        <v>16.66666666666788</v>
      </c>
      <c r="K11" s="9">
        <f t="shared" si="4"/>
        <v>50.000000000001364</v>
      </c>
      <c r="L11" s="9">
        <f t="shared" si="4"/>
        <v>83.33333333333485</v>
      </c>
      <c r="M11" s="9">
        <f t="shared" si="4"/>
        <v>116.66666666666833</v>
      </c>
      <c r="N11" s="9">
        <f t="shared" si="4"/>
        <v>150.00000000000182</v>
      </c>
      <c r="O11" s="9">
        <f t="shared" si="4"/>
        <v>183.3333333333353</v>
      </c>
      <c r="P11" s="9">
        <f t="shared" si="1"/>
        <v>1.3642420526593924E-11</v>
      </c>
    </row>
    <row r="12" spans="1:16" ht="15">
      <c r="A12" s="36"/>
      <c r="B12" s="2" t="s">
        <v>4</v>
      </c>
      <c r="D12" s="9">
        <f>D10-D9</f>
        <v>0</v>
      </c>
      <c r="E12" s="9">
        <f aca="true" t="shared" si="5" ref="E12:O12">E10-E9</f>
        <v>0</v>
      </c>
      <c r="F12" s="9">
        <f t="shared" si="5"/>
        <v>0</v>
      </c>
      <c r="G12" s="9">
        <f t="shared" si="5"/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9">
        <f t="shared" si="5"/>
        <v>0</v>
      </c>
      <c r="L12" s="9">
        <f t="shared" si="5"/>
        <v>0</v>
      </c>
      <c r="M12" s="9">
        <f t="shared" si="5"/>
        <v>0</v>
      </c>
      <c r="N12" s="9">
        <f t="shared" si="5"/>
        <v>0</v>
      </c>
      <c r="O12" s="9">
        <f t="shared" si="5"/>
        <v>0</v>
      </c>
      <c r="P12" s="4">
        <f t="shared" si="1"/>
        <v>0</v>
      </c>
    </row>
    <row r="13" spans="1:16" ht="15">
      <c r="A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1:17" ht="15">
      <c r="A14" s="7"/>
      <c r="B14" s="2" t="s">
        <v>40</v>
      </c>
      <c r="D14" s="9">
        <f>ABS(D12)+ABS(D5)</f>
        <v>83.33333333333333</v>
      </c>
      <c r="E14" s="18">
        <f aca="true" t="shared" si="6" ref="E14:O14">ABS(E12)+ABS(E5)</f>
        <v>83.33333333333333</v>
      </c>
      <c r="F14" s="18">
        <f t="shared" si="6"/>
        <v>83.33333333333333</v>
      </c>
      <c r="G14" s="18">
        <f t="shared" si="6"/>
        <v>83.33333333333333</v>
      </c>
      <c r="H14" s="18">
        <f t="shared" si="6"/>
        <v>83.33333333333333</v>
      </c>
      <c r="I14" s="18">
        <f t="shared" si="6"/>
        <v>83.33333333333333</v>
      </c>
      <c r="J14" s="18">
        <f t="shared" si="6"/>
        <v>83.33333333333333</v>
      </c>
      <c r="K14" s="18">
        <f t="shared" si="6"/>
        <v>83.33333333333333</v>
      </c>
      <c r="L14" s="18">
        <f t="shared" si="6"/>
        <v>83.33333333333333</v>
      </c>
      <c r="M14" s="18">
        <f t="shared" si="6"/>
        <v>83.33333333333333</v>
      </c>
      <c r="N14" s="18">
        <f t="shared" si="6"/>
        <v>83.33333333333333</v>
      </c>
      <c r="O14" s="18">
        <f t="shared" si="6"/>
        <v>83.33333333333333</v>
      </c>
      <c r="P14" s="9">
        <f>SUM(D14:O14)</f>
        <v>1000.0000000000001</v>
      </c>
      <c r="Q14" s="12">
        <f>P14/(P14+P32)</f>
        <v>0.6666666666666609</v>
      </c>
    </row>
    <row r="15" spans="1:17" ht="15">
      <c r="A15" s="7"/>
      <c r="B15" s="2" t="s">
        <v>41</v>
      </c>
      <c r="D15" s="9">
        <f>ABS(D11)</f>
        <v>183.33333333333303</v>
      </c>
      <c r="E15" s="9">
        <f aca="true" t="shared" si="7" ref="E15:O15">ABS(E11)</f>
        <v>149.99999999999955</v>
      </c>
      <c r="F15" s="9">
        <f t="shared" si="7"/>
        <v>116.66666666666606</v>
      </c>
      <c r="G15" s="9">
        <f t="shared" si="7"/>
        <v>83.33333333333258</v>
      </c>
      <c r="H15" s="9">
        <f t="shared" si="7"/>
        <v>49.99999999999909</v>
      </c>
      <c r="I15" s="9">
        <f t="shared" si="7"/>
        <v>16.666666666665606</v>
      </c>
      <c r="J15" s="9">
        <f t="shared" si="7"/>
        <v>16.66666666666788</v>
      </c>
      <c r="K15" s="9">
        <f t="shared" si="7"/>
        <v>50.000000000001364</v>
      </c>
      <c r="L15" s="9">
        <f t="shared" si="7"/>
        <v>83.33333333333485</v>
      </c>
      <c r="M15" s="9">
        <f t="shared" si="7"/>
        <v>116.66666666666833</v>
      </c>
      <c r="N15" s="9">
        <f t="shared" si="7"/>
        <v>150.00000000000182</v>
      </c>
      <c r="O15" s="9">
        <f t="shared" si="7"/>
        <v>183.3333333333353</v>
      </c>
      <c r="P15" s="9">
        <f>SUM(D15:O15)</f>
        <v>1200.0000000000055</v>
      </c>
      <c r="Q15" s="12">
        <f>P15/(P15+P33)</f>
        <v>0.8181818181818182</v>
      </c>
    </row>
    <row r="16" spans="1:16" ht="15">
      <c r="A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ht="15">
      <c r="A17" s="7"/>
    </row>
    <row r="18" spans="1:17" ht="33.75">
      <c r="A18" s="42" t="s">
        <v>29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3:17" ht="15">
      <c r="C19" s="3" t="s">
        <v>22</v>
      </c>
      <c r="D19" s="4" t="s">
        <v>9</v>
      </c>
      <c r="E19" s="4" t="s">
        <v>10</v>
      </c>
      <c r="F19" s="4" t="s">
        <v>11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  <c r="M19" s="4" t="s">
        <v>18</v>
      </c>
      <c r="N19" s="4" t="s">
        <v>19</v>
      </c>
      <c r="O19" s="4" t="s">
        <v>20</v>
      </c>
      <c r="P19" s="4" t="s">
        <v>21</v>
      </c>
      <c r="Q19" s="4" t="s">
        <v>23</v>
      </c>
    </row>
    <row r="20" spans="1:17" ht="15">
      <c r="A20" s="36" t="s">
        <v>6</v>
      </c>
      <c r="B20" s="2" t="s">
        <v>24</v>
      </c>
      <c r="C20" s="1">
        <v>25000</v>
      </c>
      <c r="D20" s="38">
        <f>(Q20+C20)/2</f>
        <v>30000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13">
        <f>SUM(D20:O20)</f>
        <v>30000</v>
      </c>
      <c r="Q20" s="1">
        <v>35000</v>
      </c>
    </row>
    <row r="21" spans="1:16" ht="15" customHeight="1">
      <c r="A21" s="36"/>
      <c r="B21" s="2" t="s">
        <v>27</v>
      </c>
      <c r="D21" s="40">
        <f>D25</f>
        <v>7050.000000000002</v>
      </c>
      <c r="E21" s="40"/>
      <c r="F21" s="40"/>
      <c r="G21" s="40">
        <f>G25</f>
        <v>7350.000000000002</v>
      </c>
      <c r="H21" s="40"/>
      <c r="I21" s="40"/>
      <c r="J21" s="40">
        <f>J25</f>
        <v>7650.000000000005</v>
      </c>
      <c r="K21" s="40"/>
      <c r="L21" s="40"/>
      <c r="M21" s="40">
        <f>M25</f>
        <v>7950.0000000000055</v>
      </c>
      <c r="N21" s="40"/>
      <c r="O21" s="40"/>
      <c r="P21" s="13">
        <f>SUM(D21:O21)</f>
        <v>30000.000000000015</v>
      </c>
    </row>
    <row r="22" spans="1:17" ht="15">
      <c r="A22" s="36"/>
      <c r="B22" s="2" t="s">
        <v>3</v>
      </c>
      <c r="D22" s="40">
        <f>D21/$P$21*$P$22</f>
        <v>6932.499999999999</v>
      </c>
      <c r="E22" s="40"/>
      <c r="F22" s="40"/>
      <c r="G22" s="40">
        <f>G21/$P$21*$P$22</f>
        <v>7227.499999999998</v>
      </c>
      <c r="H22" s="40"/>
      <c r="I22" s="40"/>
      <c r="J22" s="40">
        <f>J21/$P$21*$P$22</f>
        <v>7522.5</v>
      </c>
      <c r="K22" s="40"/>
      <c r="L22" s="40"/>
      <c r="M22" s="40">
        <f>M21/$P$21*$P$22</f>
        <v>7817.500000000002</v>
      </c>
      <c r="N22" s="40"/>
      <c r="O22" s="40"/>
      <c r="P22" s="15">
        <v>29500</v>
      </c>
      <c r="Q22" s="2" t="s">
        <v>30</v>
      </c>
    </row>
    <row r="23" spans="1:16" ht="15">
      <c r="A23" s="36"/>
      <c r="B23" s="2" t="s">
        <v>4</v>
      </c>
      <c r="D23" s="9">
        <f>$D$22/3-$D$21/3</f>
        <v>-39.166666666667425</v>
      </c>
      <c r="E23" s="9">
        <f>$D$22/3-$D$21/3</f>
        <v>-39.166666666667425</v>
      </c>
      <c r="F23" s="9">
        <f>$D$22/3-$D$21/3</f>
        <v>-39.166666666667425</v>
      </c>
      <c r="G23" s="9">
        <f>$G$22/3-$G$21/3</f>
        <v>-40.833333333334394</v>
      </c>
      <c r="H23" s="9">
        <f>$G$22/3-$G$21/3</f>
        <v>-40.833333333334394</v>
      </c>
      <c r="I23" s="9">
        <f>$G$22/3-$G$21/3</f>
        <v>-40.833333333334394</v>
      </c>
      <c r="J23" s="9">
        <f>$J$22/3-$J$21/3</f>
        <v>-42.500000000001364</v>
      </c>
      <c r="K23" s="9">
        <f>$J$22/3-$J$21/3</f>
        <v>-42.500000000001364</v>
      </c>
      <c r="L23" s="9">
        <f>$J$22/3-$J$21/3</f>
        <v>-42.500000000001364</v>
      </c>
      <c r="M23" s="9">
        <f>$M$22/3-$M$21/3</f>
        <v>-44.16666666666788</v>
      </c>
      <c r="N23" s="9">
        <f>$M$22/3-$M$21/3</f>
        <v>-44.16666666666788</v>
      </c>
      <c r="O23" s="9">
        <f>$M$22/3-$M$21/3</f>
        <v>-44.16666666666788</v>
      </c>
      <c r="P23" s="9">
        <f aca="true" t="shared" si="8" ref="P23:P30">SUM(D23:O23)</f>
        <v>-500.0000000000132</v>
      </c>
    </row>
    <row r="24" spans="1:16" ht="15">
      <c r="A24" s="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36" t="s">
        <v>7</v>
      </c>
      <c r="B25" s="2" t="s">
        <v>8</v>
      </c>
      <c r="D25" s="37">
        <f>D26</f>
        <v>7050.000000000002</v>
      </c>
      <c r="E25" s="37"/>
      <c r="F25" s="37"/>
      <c r="G25" s="37">
        <f>G26</f>
        <v>7350.000000000002</v>
      </c>
      <c r="H25" s="37"/>
      <c r="I25" s="37"/>
      <c r="J25" s="37">
        <f>J26</f>
        <v>7650.000000000005</v>
      </c>
      <c r="K25" s="37"/>
      <c r="L25" s="37"/>
      <c r="M25" s="37">
        <f>M26</f>
        <v>7950.0000000000055</v>
      </c>
      <c r="N25" s="37"/>
      <c r="O25" s="37"/>
      <c r="P25" s="9">
        <f t="shared" si="8"/>
        <v>30000.000000000015</v>
      </c>
    </row>
    <row r="26" spans="1:16" ht="15">
      <c r="A26" s="36"/>
      <c r="B26" s="2" t="s">
        <v>1</v>
      </c>
      <c r="D26" s="37">
        <f>SUM(D27:F27)</f>
        <v>7050.000000000002</v>
      </c>
      <c r="E26" s="37"/>
      <c r="F26" s="37"/>
      <c r="G26" s="37">
        <f>SUM(G27:I27)</f>
        <v>7350.000000000002</v>
      </c>
      <c r="H26" s="37"/>
      <c r="I26" s="37"/>
      <c r="J26" s="37">
        <f>SUM(J27:L27)</f>
        <v>7650.000000000005</v>
      </c>
      <c r="K26" s="37"/>
      <c r="L26" s="37"/>
      <c r="M26" s="37">
        <f>SUM(M27:O27)</f>
        <v>7950.0000000000055</v>
      </c>
      <c r="N26" s="37"/>
      <c r="O26" s="37"/>
      <c r="P26" s="9">
        <f t="shared" si="8"/>
        <v>30000.000000000015</v>
      </c>
    </row>
    <row r="27" spans="1:16" ht="15">
      <c r="A27" s="36"/>
      <c r="B27" s="2" t="s">
        <v>2</v>
      </c>
      <c r="C27" s="8">
        <f>(Q20-C20)/25/12</f>
        <v>33.333333333333336</v>
      </c>
      <c r="D27" s="9">
        <f>C20/12+7*C27</f>
        <v>2316.666666666667</v>
      </c>
      <c r="E27" s="9">
        <f>$C$27+D27</f>
        <v>2350.0000000000005</v>
      </c>
      <c r="F27" s="9">
        <f aca="true" t="shared" si="9" ref="F27:O27">$C$27+E27</f>
        <v>2383.333333333334</v>
      </c>
      <c r="G27" s="9">
        <f t="shared" si="9"/>
        <v>2416.6666666666674</v>
      </c>
      <c r="H27" s="9">
        <f t="shared" si="9"/>
        <v>2450.000000000001</v>
      </c>
      <c r="I27" s="9">
        <f t="shared" si="9"/>
        <v>2483.3333333333344</v>
      </c>
      <c r="J27" s="9">
        <f t="shared" si="9"/>
        <v>2516.666666666668</v>
      </c>
      <c r="K27" s="9">
        <f t="shared" si="9"/>
        <v>2550.0000000000014</v>
      </c>
      <c r="L27" s="9">
        <f t="shared" si="9"/>
        <v>2583.333333333335</v>
      </c>
      <c r="M27" s="9">
        <f t="shared" si="9"/>
        <v>2616.6666666666683</v>
      </c>
      <c r="N27" s="9">
        <f t="shared" si="9"/>
        <v>2650.000000000002</v>
      </c>
      <c r="O27" s="9">
        <f t="shared" si="9"/>
        <v>2683.3333333333353</v>
      </c>
      <c r="P27" s="9">
        <f t="shared" si="8"/>
        <v>30000.000000000015</v>
      </c>
    </row>
    <row r="28" spans="1:16" ht="15">
      <c r="A28" s="36"/>
      <c r="B28" s="2" t="s">
        <v>3</v>
      </c>
      <c r="D28" s="15">
        <f>D27</f>
        <v>2316.666666666667</v>
      </c>
      <c r="E28" s="15">
        <f aca="true" t="shared" si="10" ref="E28:O28">E27</f>
        <v>2350.0000000000005</v>
      </c>
      <c r="F28" s="15">
        <f t="shared" si="10"/>
        <v>2383.333333333334</v>
      </c>
      <c r="G28" s="15">
        <f t="shared" si="10"/>
        <v>2416.6666666666674</v>
      </c>
      <c r="H28" s="15">
        <f t="shared" si="10"/>
        <v>2450.000000000001</v>
      </c>
      <c r="I28" s="15">
        <f t="shared" si="10"/>
        <v>2483.3333333333344</v>
      </c>
      <c r="J28" s="15">
        <f t="shared" si="10"/>
        <v>2516.666666666668</v>
      </c>
      <c r="K28" s="15">
        <f t="shared" si="10"/>
        <v>2550.0000000000014</v>
      </c>
      <c r="L28" s="15">
        <f t="shared" si="10"/>
        <v>2583.333333333335</v>
      </c>
      <c r="M28" s="15">
        <f t="shared" si="10"/>
        <v>2616.6666666666683</v>
      </c>
      <c r="N28" s="15">
        <f t="shared" si="10"/>
        <v>2650.000000000002</v>
      </c>
      <c r="O28" s="15">
        <f t="shared" si="10"/>
        <v>2683.3333333333353</v>
      </c>
      <c r="P28" s="9">
        <f t="shared" si="8"/>
        <v>30000.000000000015</v>
      </c>
    </row>
    <row r="29" spans="1:16" ht="15">
      <c r="A29" s="36"/>
      <c r="B29" s="2" t="s">
        <v>5</v>
      </c>
      <c r="D29" s="9">
        <f>D27-$D$25/3</f>
        <v>-33.333333333333485</v>
      </c>
      <c r="E29" s="9">
        <f>E27-$D$25/3</f>
        <v>0</v>
      </c>
      <c r="F29" s="9">
        <f>F27-$D$25/3</f>
        <v>33.333333333333485</v>
      </c>
      <c r="G29" s="9">
        <f>G27-$G$25/3</f>
        <v>-33.33333333333303</v>
      </c>
      <c r="H29" s="9">
        <f>H27-$G$25/3</f>
        <v>0</v>
      </c>
      <c r="I29" s="9">
        <f>I27-$G$25/3</f>
        <v>33.33333333333394</v>
      </c>
      <c r="J29" s="9">
        <f>J27-$J$25/3</f>
        <v>-33.333333333333485</v>
      </c>
      <c r="K29" s="9">
        <f>K27-$J$25/3</f>
        <v>0</v>
      </c>
      <c r="L29" s="9">
        <f>L27-$J$25/3</f>
        <v>33.333333333333485</v>
      </c>
      <c r="M29" s="9">
        <f>M27-$M$25/3</f>
        <v>-33.333333333333485</v>
      </c>
      <c r="N29" s="9">
        <f>N27-$M$25/3</f>
        <v>0</v>
      </c>
      <c r="O29" s="9">
        <f>O27-$M$25/3</f>
        <v>33.333333333333485</v>
      </c>
      <c r="P29" s="9">
        <f t="shared" si="8"/>
        <v>9.094947017729282E-13</v>
      </c>
    </row>
    <row r="30" spans="1:16" ht="15">
      <c r="A30" s="36"/>
      <c r="B30" s="2" t="s">
        <v>4</v>
      </c>
      <c r="D30" s="9">
        <f>D28-D27</f>
        <v>0</v>
      </c>
      <c r="E30" s="9">
        <f aca="true" t="shared" si="11" ref="E30:O30">E28-E27</f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9">
        <f t="shared" si="11"/>
        <v>0</v>
      </c>
      <c r="O30" s="9">
        <f t="shared" si="11"/>
        <v>0</v>
      </c>
      <c r="P30" s="9">
        <f t="shared" si="8"/>
        <v>0</v>
      </c>
    </row>
    <row r="32" spans="2:17" ht="15">
      <c r="B32" s="2" t="s">
        <v>40</v>
      </c>
      <c r="D32" s="9">
        <f>ABS(D30)+ABS(D23)</f>
        <v>39.166666666667425</v>
      </c>
      <c r="E32" s="18">
        <f aca="true" t="shared" si="12" ref="E32:O32">ABS(E30)+ABS(E23)</f>
        <v>39.166666666667425</v>
      </c>
      <c r="F32" s="18">
        <f t="shared" si="12"/>
        <v>39.166666666667425</v>
      </c>
      <c r="G32" s="18">
        <f t="shared" si="12"/>
        <v>40.833333333334394</v>
      </c>
      <c r="H32" s="18">
        <f t="shared" si="12"/>
        <v>40.833333333334394</v>
      </c>
      <c r="I32" s="18">
        <f t="shared" si="12"/>
        <v>40.833333333334394</v>
      </c>
      <c r="J32" s="18">
        <f t="shared" si="12"/>
        <v>42.500000000001364</v>
      </c>
      <c r="K32" s="18">
        <f t="shared" si="12"/>
        <v>42.500000000001364</v>
      </c>
      <c r="L32" s="18">
        <f t="shared" si="12"/>
        <v>42.500000000001364</v>
      </c>
      <c r="M32" s="18">
        <f t="shared" si="12"/>
        <v>44.16666666666788</v>
      </c>
      <c r="N32" s="18">
        <f t="shared" si="12"/>
        <v>44.16666666666788</v>
      </c>
      <c r="O32" s="18">
        <f t="shared" si="12"/>
        <v>44.16666666666788</v>
      </c>
      <c r="P32" s="9">
        <f>SUM(D32:O32)</f>
        <v>500.0000000000132</v>
      </c>
      <c r="Q32" s="12">
        <f>P32/(P32+P14)</f>
        <v>0.3333333333333392</v>
      </c>
    </row>
    <row r="33" spans="2:17" ht="15">
      <c r="B33" s="2" t="s">
        <v>41</v>
      </c>
      <c r="D33" s="9">
        <f>ABS(D29+D30)</f>
        <v>33.333333333333485</v>
      </c>
      <c r="E33" s="9">
        <f aca="true" t="shared" si="13" ref="E33:O33">ABS(E29+E30)</f>
        <v>0</v>
      </c>
      <c r="F33" s="9">
        <f t="shared" si="13"/>
        <v>33.333333333333485</v>
      </c>
      <c r="G33" s="9">
        <f t="shared" si="13"/>
        <v>33.33333333333303</v>
      </c>
      <c r="H33" s="9">
        <f t="shared" si="13"/>
        <v>0</v>
      </c>
      <c r="I33" s="9">
        <f t="shared" si="13"/>
        <v>33.33333333333394</v>
      </c>
      <c r="J33" s="9">
        <f t="shared" si="13"/>
        <v>33.333333333333485</v>
      </c>
      <c r="K33" s="9">
        <f t="shared" si="13"/>
        <v>0</v>
      </c>
      <c r="L33" s="9">
        <f t="shared" si="13"/>
        <v>33.333333333333485</v>
      </c>
      <c r="M33" s="9">
        <f t="shared" si="13"/>
        <v>33.333333333333485</v>
      </c>
      <c r="N33" s="9">
        <f t="shared" si="13"/>
        <v>0</v>
      </c>
      <c r="O33" s="9">
        <f t="shared" si="13"/>
        <v>33.333333333333485</v>
      </c>
      <c r="P33" s="9">
        <f>SUM(D33:O33)</f>
        <v>266.6666666666679</v>
      </c>
      <c r="Q33" s="12">
        <f>P33/(P33+P15)</f>
        <v>0.18181818181818182</v>
      </c>
    </row>
    <row r="37" ht="15">
      <c r="B37" s="2" t="s">
        <v>45</v>
      </c>
    </row>
  </sheetData>
  <sheetProtection/>
  <mergeCells count="30">
    <mergeCell ref="D4:O4"/>
    <mergeCell ref="M25:O25"/>
    <mergeCell ref="D21:F21"/>
    <mergeCell ref="G21:I21"/>
    <mergeCell ref="D26:F26"/>
    <mergeCell ref="G26:I26"/>
    <mergeCell ref="D22:F22"/>
    <mergeCell ref="G22:I22"/>
    <mergeCell ref="J22:L22"/>
    <mergeCell ref="M22:O22"/>
    <mergeCell ref="M21:O21"/>
    <mergeCell ref="A1:Q1"/>
    <mergeCell ref="A18:Q18"/>
    <mergeCell ref="D7:O7"/>
    <mergeCell ref="D8:F8"/>
    <mergeCell ref="G8:I8"/>
    <mergeCell ref="J8:L8"/>
    <mergeCell ref="M8:O8"/>
    <mergeCell ref="A7:A12"/>
    <mergeCell ref="D3:O3"/>
    <mergeCell ref="A2:A5"/>
    <mergeCell ref="J26:L26"/>
    <mergeCell ref="M26:O26"/>
    <mergeCell ref="A20:A23"/>
    <mergeCell ref="D20:O20"/>
    <mergeCell ref="D25:F25"/>
    <mergeCell ref="G25:I25"/>
    <mergeCell ref="J25:L25"/>
    <mergeCell ref="A25:A30"/>
    <mergeCell ref="J21:L21"/>
  </mergeCells>
  <printOptions/>
  <pageMargins left="0.7" right="0.7" top="0.75" bottom="0.75" header="0.3" footer="0.3"/>
  <pageSetup fitToHeight="1" fitToWidth="1" horizontalDpi="600" verticalDpi="600" orientation="landscape" scale="70" r:id="rId2"/>
  <headerFooter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0" zoomScaleNormal="80" zoomScalePageLayoutView="0" workbookViewId="0" topLeftCell="A1">
      <selection activeCell="I40" sqref="I40"/>
    </sheetView>
  </sheetViews>
  <sheetFormatPr defaultColWidth="9.140625" defaultRowHeight="15"/>
  <cols>
    <col min="1" max="1" width="13.7109375" style="2" customWidth="1"/>
    <col min="2" max="2" width="9.140625" style="2" customWidth="1"/>
    <col min="3" max="3" width="12.7109375" style="2" customWidth="1"/>
    <col min="4" max="4" width="10.7109375" style="2" bestFit="1" customWidth="1"/>
    <col min="5" max="5" width="9.421875" style="2" bestFit="1" customWidth="1"/>
    <col min="6" max="15" width="9.28125" style="2" bestFit="1" customWidth="1"/>
    <col min="16" max="16" width="9.57421875" style="2" bestFit="1" customWidth="1"/>
    <col min="17" max="16384" width="9.140625" style="2" customWidth="1"/>
  </cols>
  <sheetData>
    <row r="1" spans="4:16" ht="15"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</row>
    <row r="2" spans="1:16" ht="15">
      <c r="A2" s="2" t="s">
        <v>25</v>
      </c>
      <c r="B2" s="2" t="s">
        <v>40</v>
      </c>
      <c r="D2" s="9">
        <f>'Cleared Imbalance'!D14</f>
        <v>83.33333333333333</v>
      </c>
      <c r="E2" s="18">
        <f>'Cleared Imbalance'!E14</f>
        <v>83.33333333333333</v>
      </c>
      <c r="F2" s="18">
        <f>'Cleared Imbalance'!F14</f>
        <v>83.33333333333333</v>
      </c>
      <c r="G2" s="18">
        <f>'Cleared Imbalance'!G14</f>
        <v>83.33333333333333</v>
      </c>
      <c r="H2" s="18">
        <f>'Cleared Imbalance'!H14</f>
        <v>83.33333333333333</v>
      </c>
      <c r="I2" s="18">
        <f>'Cleared Imbalance'!I14</f>
        <v>83.33333333333333</v>
      </c>
      <c r="J2" s="18">
        <f>'Cleared Imbalance'!J14</f>
        <v>83.33333333333333</v>
      </c>
      <c r="K2" s="18">
        <f>'Cleared Imbalance'!K14</f>
        <v>83.33333333333333</v>
      </c>
      <c r="L2" s="18">
        <f>'Cleared Imbalance'!L14</f>
        <v>83.33333333333333</v>
      </c>
      <c r="M2" s="18">
        <f>'Cleared Imbalance'!M14</f>
        <v>83.33333333333333</v>
      </c>
      <c r="N2" s="18">
        <f>'Cleared Imbalance'!N14</f>
        <v>83.33333333333333</v>
      </c>
      <c r="O2" s="18">
        <f>'Cleared Imbalance'!O14</f>
        <v>83.33333333333333</v>
      </c>
      <c r="P2" s="9">
        <f>SUM(D2:O2)</f>
        <v>1000.0000000000001</v>
      </c>
    </row>
    <row r="3" spans="1:16" ht="15">
      <c r="A3" s="2" t="s">
        <v>26</v>
      </c>
      <c r="B3" s="2" t="s">
        <v>40</v>
      </c>
      <c r="D3" s="9">
        <f>'Cleared Imbalance'!D32</f>
        <v>39.166666666667425</v>
      </c>
      <c r="E3" s="18">
        <f>'Cleared Imbalance'!E32</f>
        <v>39.166666666667425</v>
      </c>
      <c r="F3" s="18">
        <f>'Cleared Imbalance'!F32</f>
        <v>39.166666666667425</v>
      </c>
      <c r="G3" s="18">
        <f>'Cleared Imbalance'!G32</f>
        <v>40.833333333334394</v>
      </c>
      <c r="H3" s="18">
        <f>'Cleared Imbalance'!H32</f>
        <v>40.833333333334394</v>
      </c>
      <c r="I3" s="18">
        <f>'Cleared Imbalance'!I32</f>
        <v>40.833333333334394</v>
      </c>
      <c r="J3" s="18">
        <f>'Cleared Imbalance'!J32</f>
        <v>42.500000000001364</v>
      </c>
      <c r="K3" s="18">
        <f>'Cleared Imbalance'!K32</f>
        <v>42.500000000001364</v>
      </c>
      <c r="L3" s="18">
        <f>'Cleared Imbalance'!L32</f>
        <v>42.500000000001364</v>
      </c>
      <c r="M3" s="18">
        <f>'Cleared Imbalance'!M32</f>
        <v>44.16666666666788</v>
      </c>
      <c r="N3" s="18">
        <f>'Cleared Imbalance'!N32</f>
        <v>44.16666666666788</v>
      </c>
      <c r="O3" s="18">
        <f>'Cleared Imbalance'!O32</f>
        <v>44.16666666666788</v>
      </c>
      <c r="P3" s="9">
        <f>SUM(D3:O3)</f>
        <v>500.0000000000132</v>
      </c>
    </row>
    <row r="5" spans="1:16" ht="15">
      <c r="A5" s="2" t="s">
        <v>39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9">
        <f>SUM(D5:O5)</f>
        <v>30</v>
      </c>
    </row>
    <row r="6" spans="1:16" ht="15">
      <c r="A6" s="2" t="s">
        <v>31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9">
        <f>SUM(D6:O6)</f>
        <v>30</v>
      </c>
    </row>
    <row r="7" spans="10:16" ht="15">
      <c r="J7" s="2" t="s">
        <v>34</v>
      </c>
      <c r="P7" s="5">
        <f>P5-P6</f>
        <v>0</v>
      </c>
    </row>
    <row r="8" ht="15">
      <c r="P8" s="11"/>
    </row>
    <row r="9" spans="1:16" ht="21">
      <c r="A9" s="35" t="s">
        <v>25</v>
      </c>
      <c r="B9" s="16"/>
      <c r="C9" s="16"/>
      <c r="D9" s="16"/>
      <c r="P9" s="11"/>
    </row>
    <row r="10" spans="1:16" ht="15">
      <c r="A10" s="2" t="s">
        <v>32</v>
      </c>
      <c r="D10" s="20">
        <v>80</v>
      </c>
      <c r="E10" s="19">
        <v>80</v>
      </c>
      <c r="F10" s="19">
        <v>80</v>
      </c>
      <c r="G10" s="19">
        <v>80</v>
      </c>
      <c r="H10" s="19">
        <v>80</v>
      </c>
      <c r="I10" s="19">
        <v>80</v>
      </c>
      <c r="J10" s="19">
        <v>80</v>
      </c>
      <c r="K10" s="19">
        <v>80</v>
      </c>
      <c r="L10" s="19">
        <v>80</v>
      </c>
      <c r="M10" s="19">
        <v>80</v>
      </c>
      <c r="N10" s="19">
        <v>80</v>
      </c>
      <c r="O10" s="19">
        <v>80</v>
      </c>
      <c r="P10" s="22">
        <f>SUM(D10:O10)</f>
        <v>960</v>
      </c>
    </row>
    <row r="11" spans="1:16" ht="15">
      <c r="A11" s="2" t="s">
        <v>37</v>
      </c>
      <c r="D11" s="19">
        <v>-10</v>
      </c>
      <c r="E11" s="19">
        <v>-10</v>
      </c>
      <c r="F11" s="19">
        <v>-10</v>
      </c>
      <c r="G11" s="19">
        <v>-10</v>
      </c>
      <c r="H11" s="19">
        <v>-10</v>
      </c>
      <c r="I11" s="19">
        <v>-10</v>
      </c>
      <c r="J11" s="19">
        <v>-10</v>
      </c>
      <c r="K11" s="19">
        <v>-10</v>
      </c>
      <c r="L11" s="19">
        <v>-10</v>
      </c>
      <c r="M11" s="19">
        <v>-10</v>
      </c>
      <c r="N11" s="19">
        <v>-10</v>
      </c>
      <c r="O11" s="19">
        <v>-10</v>
      </c>
      <c r="P11" s="22">
        <f>SUM(D11:O11)</f>
        <v>-120</v>
      </c>
    </row>
    <row r="12" spans="1:16" ht="15">
      <c r="A12" s="16" t="s">
        <v>38</v>
      </c>
      <c r="B12" s="16"/>
      <c r="C12" s="16"/>
      <c r="D12" s="19">
        <v>-45</v>
      </c>
      <c r="E12" s="19">
        <v>-45</v>
      </c>
      <c r="F12" s="19">
        <v>-45</v>
      </c>
      <c r="G12" s="19">
        <v>-45</v>
      </c>
      <c r="H12" s="19">
        <v>-45</v>
      </c>
      <c r="I12" s="19">
        <v>-45</v>
      </c>
      <c r="J12" s="19">
        <v>-45</v>
      </c>
      <c r="K12" s="19">
        <v>-45</v>
      </c>
      <c r="L12" s="19">
        <v>-45</v>
      </c>
      <c r="M12" s="19">
        <v>-45</v>
      </c>
      <c r="N12" s="19">
        <v>-45</v>
      </c>
      <c r="O12" s="19">
        <v>-45</v>
      </c>
      <c r="P12" s="22">
        <f>SUM(D12:O12)</f>
        <v>-540</v>
      </c>
    </row>
    <row r="13" spans="1:16" ht="15">
      <c r="A13" s="2" t="s">
        <v>43</v>
      </c>
      <c r="D13" s="21">
        <f>SUM(D10:D12)</f>
        <v>25</v>
      </c>
      <c r="E13" s="21">
        <f aca="true" t="shared" si="0" ref="E13:O13">SUM(E10:E12)</f>
        <v>25</v>
      </c>
      <c r="F13" s="21">
        <f t="shared" si="0"/>
        <v>25</v>
      </c>
      <c r="G13" s="21">
        <f t="shared" si="0"/>
        <v>25</v>
      </c>
      <c r="H13" s="21">
        <f t="shared" si="0"/>
        <v>25</v>
      </c>
      <c r="I13" s="21">
        <f t="shared" si="0"/>
        <v>25</v>
      </c>
      <c r="J13" s="21">
        <f t="shared" si="0"/>
        <v>25</v>
      </c>
      <c r="K13" s="21">
        <f t="shared" si="0"/>
        <v>25</v>
      </c>
      <c r="L13" s="21">
        <f t="shared" si="0"/>
        <v>25</v>
      </c>
      <c r="M13" s="21">
        <f t="shared" si="0"/>
        <v>25</v>
      </c>
      <c r="N13" s="21">
        <f t="shared" si="0"/>
        <v>25</v>
      </c>
      <c r="O13" s="21">
        <f t="shared" si="0"/>
        <v>25</v>
      </c>
      <c r="P13" s="22">
        <f>SUM(D13:O13)</f>
        <v>300</v>
      </c>
    </row>
    <row r="14" ht="15">
      <c r="P14" s="11"/>
    </row>
    <row r="15" ht="15">
      <c r="P15" s="11"/>
    </row>
    <row r="16" spans="1:16" ht="15">
      <c r="A16" s="23" t="s">
        <v>35</v>
      </c>
      <c r="B16" s="23"/>
      <c r="C16" s="24"/>
      <c r="D16" s="27">
        <f>-IF(D5&gt;0,D13*(D5/(D5+D2)),0)</f>
        <v>-1.4150943396226416</v>
      </c>
      <c r="E16" s="27">
        <f aca="true" t="shared" si="1" ref="E16:O16">-IF(E5&gt;0,E13*(E5/(E5+E2)),0)</f>
        <v>-1.4150943396226416</v>
      </c>
      <c r="F16" s="27">
        <f t="shared" si="1"/>
        <v>-1.4150943396226416</v>
      </c>
      <c r="G16" s="27">
        <f t="shared" si="1"/>
        <v>-1.4150943396226416</v>
      </c>
      <c r="H16" s="27">
        <f t="shared" si="1"/>
        <v>-1.4150943396226416</v>
      </c>
      <c r="I16" s="27">
        <f t="shared" si="1"/>
        <v>-1.4150943396226416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  <c r="O16" s="27">
        <f t="shared" si="1"/>
        <v>0</v>
      </c>
      <c r="P16" s="31">
        <f>SUM(D16:O16)</f>
        <v>-8.49056603773585</v>
      </c>
    </row>
    <row r="17" spans="1:16" ht="15">
      <c r="A17" s="16" t="s">
        <v>36</v>
      </c>
      <c r="B17" s="16"/>
      <c r="C17" s="25"/>
      <c r="D17" s="27">
        <f>-D31</f>
        <v>0</v>
      </c>
      <c r="E17" s="27">
        <f aca="true" t="shared" si="2" ref="E17:O17">-E31</f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0.3684210526315684</v>
      </c>
      <c r="K17" s="27">
        <f t="shared" si="2"/>
        <v>0.3684210526315684</v>
      </c>
      <c r="L17" s="27">
        <f t="shared" si="2"/>
        <v>0.3684210526315684</v>
      </c>
      <c r="M17" s="27">
        <f t="shared" si="2"/>
        <v>0.35593220338982173</v>
      </c>
      <c r="N17" s="27">
        <f t="shared" si="2"/>
        <v>0.35593220338982173</v>
      </c>
      <c r="O17" s="27">
        <f t="shared" si="2"/>
        <v>0.35593220338982173</v>
      </c>
      <c r="P17" s="31">
        <f>SUM(D17:O17)</f>
        <v>2.1730597680641703</v>
      </c>
    </row>
    <row r="18" spans="4:16" ht="15"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2"/>
    </row>
    <row r="19" spans="1:16" ht="15.75" thickBot="1">
      <c r="A19" s="26" t="s">
        <v>42</v>
      </c>
      <c r="B19" s="26"/>
      <c r="C19" s="26"/>
      <c r="D19" s="30">
        <f>D17+D16+D13</f>
        <v>23.58490566037736</v>
      </c>
      <c r="E19" s="30">
        <f aca="true" t="shared" si="3" ref="E19:O19">E17+E16+E13</f>
        <v>23.58490566037736</v>
      </c>
      <c r="F19" s="30">
        <f t="shared" si="3"/>
        <v>23.58490566037736</v>
      </c>
      <c r="G19" s="30">
        <f t="shared" si="3"/>
        <v>23.58490566037736</v>
      </c>
      <c r="H19" s="30">
        <f t="shared" si="3"/>
        <v>23.58490566037736</v>
      </c>
      <c r="I19" s="30">
        <f t="shared" si="3"/>
        <v>23.58490566037736</v>
      </c>
      <c r="J19" s="30">
        <f t="shared" si="3"/>
        <v>25.368421052631568</v>
      </c>
      <c r="K19" s="30">
        <f t="shared" si="3"/>
        <v>25.368421052631568</v>
      </c>
      <c r="L19" s="30">
        <f t="shared" si="3"/>
        <v>25.368421052631568</v>
      </c>
      <c r="M19" s="30">
        <f t="shared" si="3"/>
        <v>25.355932203389823</v>
      </c>
      <c r="N19" s="30">
        <f t="shared" si="3"/>
        <v>25.355932203389823</v>
      </c>
      <c r="O19" s="30">
        <f t="shared" si="3"/>
        <v>25.355932203389823</v>
      </c>
      <c r="P19" s="33">
        <f>SUM(D19:O19)</f>
        <v>293.6824937303283</v>
      </c>
    </row>
    <row r="20" ht="15.75" thickTop="1"/>
    <row r="23" spans="1:16" ht="21">
      <c r="A23" s="35" t="s">
        <v>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</row>
    <row r="24" spans="1:16" ht="15">
      <c r="A24" s="2" t="s">
        <v>32</v>
      </c>
      <c r="D24" s="20">
        <v>5</v>
      </c>
      <c r="E24" s="20">
        <v>5</v>
      </c>
      <c r="F24" s="20">
        <v>5</v>
      </c>
      <c r="G24" s="20">
        <v>5</v>
      </c>
      <c r="H24" s="20">
        <v>5</v>
      </c>
      <c r="I24" s="20">
        <v>5</v>
      </c>
      <c r="J24" s="20">
        <v>5</v>
      </c>
      <c r="K24" s="20">
        <v>5</v>
      </c>
      <c r="L24" s="20">
        <v>5</v>
      </c>
      <c r="M24" s="20">
        <v>5</v>
      </c>
      <c r="N24" s="20">
        <v>5</v>
      </c>
      <c r="O24" s="20">
        <v>5</v>
      </c>
      <c r="P24" s="34">
        <f>SUM(D24:O24)</f>
        <v>60</v>
      </c>
    </row>
    <row r="25" spans="1:16" ht="15">
      <c r="A25" s="2" t="s">
        <v>37</v>
      </c>
      <c r="D25" s="19">
        <v>-1.5</v>
      </c>
      <c r="E25" s="19">
        <v>-1.5</v>
      </c>
      <c r="F25" s="19">
        <v>-1.5</v>
      </c>
      <c r="G25" s="19">
        <v>-1.5</v>
      </c>
      <c r="H25" s="19">
        <v>-1.5</v>
      </c>
      <c r="I25" s="19">
        <v>-1.5</v>
      </c>
      <c r="J25" s="19">
        <v>-1.5</v>
      </c>
      <c r="K25" s="19">
        <v>-1.5</v>
      </c>
      <c r="L25" s="19">
        <v>-1.5</v>
      </c>
      <c r="M25" s="19">
        <v>-1.5</v>
      </c>
      <c r="N25" s="19">
        <v>-1.5</v>
      </c>
      <c r="O25" s="19">
        <v>-1.5</v>
      </c>
      <c r="P25" s="22">
        <f>SUM(D25:O25)</f>
        <v>-18</v>
      </c>
    </row>
    <row r="26" spans="1:16" ht="15">
      <c r="A26" s="16" t="s">
        <v>38</v>
      </c>
      <c r="B26" s="16"/>
      <c r="C26" s="16"/>
      <c r="D26" s="28" t="s">
        <v>33</v>
      </c>
      <c r="E26" s="28" t="s">
        <v>33</v>
      </c>
      <c r="F26" s="28" t="s">
        <v>33</v>
      </c>
      <c r="G26" s="28" t="s">
        <v>33</v>
      </c>
      <c r="H26" s="28" t="s">
        <v>33</v>
      </c>
      <c r="I26" s="28" t="s">
        <v>33</v>
      </c>
      <c r="J26" s="28" t="s">
        <v>33</v>
      </c>
      <c r="K26" s="28" t="s">
        <v>33</v>
      </c>
      <c r="L26" s="28" t="s">
        <v>33</v>
      </c>
      <c r="M26" s="28" t="s">
        <v>33</v>
      </c>
      <c r="N26" s="28" t="s">
        <v>33</v>
      </c>
      <c r="O26" s="28" t="s">
        <v>33</v>
      </c>
      <c r="P26" s="28" t="s">
        <v>33</v>
      </c>
    </row>
    <row r="27" spans="1:16" ht="15">
      <c r="A27" s="2" t="s">
        <v>43</v>
      </c>
      <c r="D27" s="21">
        <f aca="true" t="shared" si="4" ref="D27:O27">SUM(D24:D26)</f>
        <v>3.5</v>
      </c>
      <c r="E27" s="21">
        <f t="shared" si="4"/>
        <v>3.5</v>
      </c>
      <c r="F27" s="21">
        <f t="shared" si="4"/>
        <v>3.5</v>
      </c>
      <c r="G27" s="21">
        <f t="shared" si="4"/>
        <v>3.5</v>
      </c>
      <c r="H27" s="21">
        <f t="shared" si="4"/>
        <v>3.5</v>
      </c>
      <c r="I27" s="21">
        <f t="shared" si="4"/>
        <v>3.5</v>
      </c>
      <c r="J27" s="21">
        <f t="shared" si="4"/>
        <v>3.5</v>
      </c>
      <c r="K27" s="21">
        <f t="shared" si="4"/>
        <v>3.5</v>
      </c>
      <c r="L27" s="21">
        <f t="shared" si="4"/>
        <v>3.5</v>
      </c>
      <c r="M27" s="21">
        <f t="shared" si="4"/>
        <v>3.5</v>
      </c>
      <c r="N27" s="21">
        <f t="shared" si="4"/>
        <v>3.5</v>
      </c>
      <c r="O27" s="21">
        <f t="shared" si="4"/>
        <v>3.5</v>
      </c>
      <c r="P27" s="22">
        <f>SUM(D27:O27)</f>
        <v>42</v>
      </c>
    </row>
    <row r="28" ht="15">
      <c r="P28" s="11"/>
    </row>
    <row r="29" ht="15">
      <c r="P29" s="11"/>
    </row>
    <row r="30" spans="1:16" ht="15">
      <c r="A30" s="23" t="s">
        <v>35</v>
      </c>
      <c r="B30" s="23"/>
      <c r="C30" s="24"/>
      <c r="D30" s="27">
        <f>-D16</f>
        <v>1.4150943396226416</v>
      </c>
      <c r="E30" s="27">
        <f aca="true" t="shared" si="5" ref="E30:O30">-E16</f>
        <v>1.4150943396226416</v>
      </c>
      <c r="F30" s="27">
        <f t="shared" si="5"/>
        <v>1.4150943396226416</v>
      </c>
      <c r="G30" s="27">
        <f t="shared" si="5"/>
        <v>1.4150943396226416</v>
      </c>
      <c r="H30" s="27">
        <f t="shared" si="5"/>
        <v>1.4150943396226416</v>
      </c>
      <c r="I30" s="27">
        <f t="shared" si="5"/>
        <v>1.4150943396226416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1">
        <f>SUM(D30:O30)</f>
        <v>8.49056603773585</v>
      </c>
    </row>
    <row r="31" spans="1:16" ht="15">
      <c r="A31" s="16" t="s">
        <v>36</v>
      </c>
      <c r="B31" s="16"/>
      <c r="C31" s="25"/>
      <c r="D31" s="27">
        <f>-IF(D6&gt;0,D27*(D6/(D6+D3)))</f>
        <v>0</v>
      </c>
      <c r="E31" s="27">
        <f aca="true" t="shared" si="6" ref="E31:O31">-IF(E6&gt;0,E27*(E6/(E6+E3)))</f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-0.3684210526315684</v>
      </c>
      <c r="K31" s="27">
        <f t="shared" si="6"/>
        <v>-0.3684210526315684</v>
      </c>
      <c r="L31" s="27">
        <f t="shared" si="6"/>
        <v>-0.3684210526315684</v>
      </c>
      <c r="M31" s="27">
        <f t="shared" si="6"/>
        <v>-0.35593220338982173</v>
      </c>
      <c r="N31" s="27">
        <f t="shared" si="6"/>
        <v>-0.35593220338982173</v>
      </c>
      <c r="O31" s="27">
        <f t="shared" si="6"/>
        <v>-0.35593220338982173</v>
      </c>
      <c r="P31" s="31">
        <f>SUM(D31:O31)</f>
        <v>-2.1730597680641703</v>
      </c>
    </row>
    <row r="32" spans="4:16" ht="1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2"/>
    </row>
    <row r="33" spans="1:16" ht="15.75" thickBot="1">
      <c r="A33" s="26" t="s">
        <v>44</v>
      </c>
      <c r="B33" s="26"/>
      <c r="C33" s="26"/>
      <c r="D33" s="30">
        <f>D31+D30+D27</f>
        <v>4.915094339622642</v>
      </c>
      <c r="E33" s="30">
        <f aca="true" t="shared" si="7" ref="E33:O33">E31+E30+E27</f>
        <v>4.915094339622642</v>
      </c>
      <c r="F33" s="30">
        <f t="shared" si="7"/>
        <v>4.915094339622642</v>
      </c>
      <c r="G33" s="30">
        <f t="shared" si="7"/>
        <v>4.915094339622642</v>
      </c>
      <c r="H33" s="30">
        <f t="shared" si="7"/>
        <v>4.915094339622642</v>
      </c>
      <c r="I33" s="30">
        <f t="shared" si="7"/>
        <v>4.915094339622642</v>
      </c>
      <c r="J33" s="30">
        <f t="shared" si="7"/>
        <v>3.1315789473684315</v>
      </c>
      <c r="K33" s="30">
        <f t="shared" si="7"/>
        <v>3.1315789473684315</v>
      </c>
      <c r="L33" s="30">
        <f t="shared" si="7"/>
        <v>3.1315789473684315</v>
      </c>
      <c r="M33" s="30">
        <f t="shared" si="7"/>
        <v>3.1440677966101784</v>
      </c>
      <c r="N33" s="30">
        <f t="shared" si="7"/>
        <v>3.1440677966101784</v>
      </c>
      <c r="O33" s="30">
        <f t="shared" si="7"/>
        <v>3.1440677966101784</v>
      </c>
      <c r="P33" s="33">
        <f>SUM(D33:O33)</f>
        <v>48.31750626967168</v>
      </c>
    </row>
    <row r="34" ht="15.75" thickTop="1"/>
    <row r="36" ht="15">
      <c r="A36" s="2" t="s">
        <v>46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77" r:id="rId2"/>
  <headerFooter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Neutrality and Transfer Model Spreadsheet Examples - Energy Imbalance Market</dc:title>
  <dc:subject/>
  <dc:creator>dtretheway</dc:creator>
  <cp:keywords/>
  <dc:description/>
  <cp:lastModifiedBy>dtretheway</cp:lastModifiedBy>
  <cp:lastPrinted>2013-06-21T00:18:17Z</cp:lastPrinted>
  <dcterms:created xsi:type="dcterms:W3CDTF">2013-06-11T15:12:24Z</dcterms:created>
  <dcterms:modified xsi:type="dcterms:W3CDTF">2013-06-28T22:49:40Z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Orig Post Da">
    <vt:lpwstr>2013-07-02T14:45:00Z</vt:lpwstr>
  </property>
  <property fmtid="{D5CDD505-2E9C-101B-9397-08002B2CF9AE}" pid="6" name="ISOSumma">
    <vt:lpwstr>​This is an example of approaches discussed in the revised straw proposal for the Energy Imbalance Market initiative</vt:lpwstr>
  </property>
  <property fmtid="{D5CDD505-2E9C-101B-9397-08002B2CF9AE}" pid="7" name="PostDa">
    <vt:lpwstr>2013-07-02T14:45:00Z</vt:lpwstr>
  </property>
  <property fmtid="{D5CDD505-2E9C-101B-9397-08002B2CF9AE}" pid="8" name="ISOArchiv">
    <vt:lpwstr>Not Archived</vt:lpwstr>
  </property>
  <property fmtid="{D5CDD505-2E9C-101B-9397-08002B2CF9AE}" pid="9" name="News Relea">
    <vt:lpwstr>0</vt:lpwstr>
  </property>
  <property fmtid="{D5CDD505-2E9C-101B-9397-08002B2CF9AE}" pid="10" name="ContentReviewInterv">
    <vt:lpwstr/>
  </property>
  <property fmtid="{D5CDD505-2E9C-101B-9397-08002B2CF9AE}" pid="11" name="ISOOwn">
    <vt:lpwstr>mphelget</vt:lpwstr>
  </property>
  <property fmtid="{D5CDD505-2E9C-101B-9397-08002B2CF9AE}" pid="12" name="ISODescripti">
    <vt:lpwstr/>
  </property>
  <property fmtid="{D5CDD505-2E9C-101B-9397-08002B2CF9AE}" pid="13" name="Document Ty">
    <vt:lpwstr>Technical Documentation</vt:lpwstr>
  </property>
  <property fmtid="{D5CDD505-2E9C-101B-9397-08002B2CF9AE}" pid="14" name="CrawlableUnique">
    <vt:lpwstr>15389702-c797-48d9-b6f3-70ca0ce7d240</vt:lpwstr>
  </property>
  <property fmtid="{D5CDD505-2E9C-101B-9397-08002B2CF9AE}" pid="15" name="ParentISOGrou">
    <vt:lpwstr>Meeting Jul 9, 2013|0e46b524-94a5-42d1-a8ec-efab4f7ee444</vt:lpwstr>
  </property>
  <property fmtid="{D5CDD505-2E9C-101B-9397-08002B2CF9AE}" pid="16" name="IsPublish">
    <vt:lpwstr>1</vt:lpwstr>
  </property>
</Properties>
</file>